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mo.CVJM\Documents\Buchhaltung und Finanzen\"/>
    </mc:Choice>
  </mc:AlternateContent>
  <bookViews>
    <workbookView xWindow="0" yWindow="0" windowWidth="25200" windowHeight="11985"/>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 l="1"/>
  <c r="N12" i="1"/>
  <c r="N13" i="1"/>
  <c r="N5" i="1"/>
  <c r="N6" i="1"/>
  <c r="N7" i="1"/>
  <c r="M21" i="1"/>
  <c r="M20" i="1"/>
  <c r="M19" i="1"/>
  <c r="K15" i="1"/>
  <c r="K14" i="1"/>
  <c r="K13" i="1"/>
  <c r="K12" i="1"/>
  <c r="K11" i="1"/>
  <c r="K10" i="1"/>
  <c r="K9" i="1"/>
  <c r="K8" i="1"/>
  <c r="K7" i="1"/>
  <c r="K6" i="1"/>
  <c r="K5" i="1"/>
  <c r="N19" i="1" l="1"/>
  <c r="F6" i="1" s="1"/>
  <c r="G6" i="1" s="1"/>
  <c r="F5" i="1"/>
  <c r="G5" i="1" s="1"/>
  <c r="A12" i="1"/>
  <c r="J15" i="1"/>
  <c r="J14" i="1"/>
  <c r="I15" i="1"/>
  <c r="I14" i="1"/>
  <c r="G7" i="1"/>
  <c r="J13" i="1"/>
  <c r="J12" i="1"/>
  <c r="J11" i="1"/>
  <c r="J10" i="1"/>
  <c r="J9" i="1"/>
  <c r="J8" i="1"/>
  <c r="J7" i="1"/>
  <c r="J6" i="1"/>
  <c r="J5" i="1"/>
  <c r="I13" i="1"/>
  <c r="I12" i="1"/>
  <c r="I11" i="1"/>
  <c r="I10" i="1"/>
  <c r="N10" i="1" s="1"/>
  <c r="F10" i="1" s="1"/>
  <c r="I9" i="1"/>
  <c r="I8" i="1"/>
  <c r="I7" i="1"/>
  <c r="I5" i="1"/>
  <c r="I6" i="1"/>
  <c r="N9" i="1" l="1"/>
  <c r="N8" i="1"/>
  <c r="N14" i="1"/>
  <c r="N15" i="1"/>
  <c r="G12" i="1" l="1"/>
  <c r="F8" i="1"/>
  <c r="G8" i="1" s="1"/>
  <c r="G10" i="1"/>
  <c r="F9" i="1"/>
  <c r="G9" i="1" l="1"/>
  <c r="E16" i="1" s="1"/>
  <c r="E17" i="1" s="1"/>
</calcChain>
</file>

<file path=xl/sharedStrings.xml><?xml version="1.0" encoding="utf-8"?>
<sst xmlns="http://schemas.openxmlformats.org/spreadsheetml/2006/main" count="59" uniqueCount="51">
  <si>
    <t>Wieviele Nächte kommen Sie zu uns?</t>
  </si>
  <si>
    <t>Liegt ihr Aufenthalt im Zeitraum Oktober bis April?</t>
  </si>
  <si>
    <t>Wieviele Teilnehmende im Alter von 0-2 Jahren?</t>
  </si>
  <si>
    <t>Wieviele Teilnehmende im Alter von 3-6 Jahren?</t>
  </si>
  <si>
    <t>Wieviele Teilnehmende im Alter von 7-26 Jahren?</t>
  </si>
  <si>
    <t>Wieviele Teilnehmende im Alter von 27 und älter?</t>
  </si>
  <si>
    <t>In welchem Jahr kommen Sie zu uns?</t>
  </si>
  <si>
    <t>Preisliste</t>
  </si>
  <si>
    <t>Wünschen Sie Selbst- oder Vollverpflegung oder "Plus"?</t>
  </si>
  <si>
    <t>SV</t>
  </si>
  <si>
    <t>SV Kind</t>
  </si>
  <si>
    <t>SV Jugend</t>
  </si>
  <si>
    <t>SV Erwachsen</t>
  </si>
  <si>
    <t>VV Kind</t>
  </si>
  <si>
    <t>VV Jugend</t>
  </si>
  <si>
    <t>VV Erwachsen</t>
  </si>
  <si>
    <t>VV+ Kind</t>
  </si>
  <si>
    <t>VV+ Jugend</t>
  </si>
  <si>
    <t>VV+ Erwachsen</t>
  </si>
  <si>
    <t>Kalkulation</t>
  </si>
  <si>
    <t>VV</t>
  </si>
  <si>
    <t>VV+</t>
  </si>
  <si>
    <t>Preis p.P./N.</t>
  </si>
  <si>
    <t>Ja</t>
  </si>
  <si>
    <t>Summe</t>
  </si>
  <si>
    <t>Die Summe für Ihren Aufenthalt beträgt kalkuliert:</t>
  </si>
  <si>
    <t>Das entspricht einem Durchschnittspreis von:</t>
  </si>
  <si>
    <t>für die Gruppe</t>
  </si>
  <si>
    <t>pro Person</t>
  </si>
  <si>
    <t>Küche GZH</t>
  </si>
  <si>
    <t>Küche HKH</t>
  </si>
  <si>
    <t>GZH</t>
  </si>
  <si>
    <t>Jahre</t>
  </si>
  <si>
    <t>Nächte</t>
  </si>
  <si>
    <t>Dropdown</t>
  </si>
  <si>
    <t>Heizen</t>
  </si>
  <si>
    <t>Nein</t>
  </si>
  <si>
    <t>Verpflegung</t>
  </si>
  <si>
    <t>Küche</t>
  </si>
  <si>
    <t>Keine</t>
  </si>
  <si>
    <t>HKH</t>
  </si>
  <si>
    <t>Kostenkalkulation für den Aufenthalt</t>
  </si>
  <si>
    <t>Liebe Gäste, mit diesem Excel-Tool versuchen wir Ihnen eine schnelle Kostenübersicht zu ermöglichen. Bitte bedenken Sie, dass wir nicht alle Sonderfälle abdecken können. Durch Zusatzangebote oder Einzelzimmernutzung etc. können Zusatzkosten entstehen, die wir hier leider nicht abbilden können. Für die Abrechnung verbindlich ist immer die erbrachte Leistung, die Rechnung des Hauses, niemals dieses Kalkulations-Tool. Wir bitten Sie dies nur als Unterstützung für Ihre Planung zu sehen. Bitte füllen Sie lediglich die grauen Kästchen mittels Drop-Down-Auswahl aus. Für Beherbergungen über die Jahresauswahl hinaus nutzen Sie bitte immer das letztmögliche Jahr (für 2025 z.B. das Jahr 2024 sofern dieses in der Auswahl vorhanden ist, sonst 2023.) Rechtsgültigkeit besitzen nur die Rechnung sowie unsere Preislisten. Es entsteht kein Anspruch aus dieser Kalkulation für Ihren Aufenthalt.</t>
  </si>
  <si>
    <t>Abkürzungsverzeichnis:</t>
  </si>
  <si>
    <t>Selbstverpflegung</t>
  </si>
  <si>
    <t>Gemeinschaftszelthaus</t>
  </si>
  <si>
    <t>Hermann-Kupsch-Haus</t>
  </si>
  <si>
    <t>Vollverpflegung für Jugendgruppen</t>
  </si>
  <si>
    <t>Tagungsverpflegung für Firmen / Seminare</t>
  </si>
  <si>
    <t>Heizkosten</t>
  </si>
  <si>
    <t>HK Gesamt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</si>
</sst>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sz val="10"/>
      <color theme="0"/>
      <name val="Calibri"/>
      <family val="2"/>
      <scheme val="minor"/>
    </font>
    <font>
      <b/>
      <sz val="10"/>
      <color theme="1"/>
      <name val="Calibri"/>
      <family val="2"/>
      <scheme val="minor"/>
    </font>
    <font>
      <i/>
      <sz val="11"/>
      <color theme="1"/>
      <name val="Calibri"/>
      <family val="2"/>
      <scheme val="minor"/>
    </font>
    <font>
      <sz val="9"/>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Alignment="1"/>
    <xf numFmtId="0" fontId="2" fillId="0" borderId="0" xfId="0" applyFont="1"/>
    <xf numFmtId="0" fontId="2" fillId="0" borderId="0" xfId="0" applyFont="1" applyAlignment="1">
      <alignment horizontal="center"/>
    </xf>
    <xf numFmtId="0" fontId="4" fillId="0" borderId="0" xfId="0" applyFont="1"/>
    <xf numFmtId="8"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0" fontId="6" fillId="0" borderId="1" xfId="0" applyFont="1" applyBorder="1"/>
    <xf numFmtId="0" fontId="6" fillId="0" borderId="1" xfId="0" applyFont="1" applyBorder="1" applyAlignment="1">
      <alignment horizontal="center"/>
    </xf>
    <xf numFmtId="164" fontId="6" fillId="0" borderId="1" xfId="0" applyNumberFormat="1" applyFont="1" applyBorder="1" applyAlignment="1">
      <alignment horizontal="center"/>
    </xf>
    <xf numFmtId="164" fontId="6" fillId="0" borderId="1" xfId="0" applyNumberFormat="1" applyFont="1" applyBorder="1"/>
    <xf numFmtId="8" fontId="6" fillId="0" borderId="1" xfId="0" applyNumberFormat="1" applyFont="1" applyBorder="1" applyAlignment="1">
      <alignment horizontal="center"/>
    </xf>
    <xf numFmtId="8" fontId="6" fillId="0" borderId="1" xfId="0" applyNumberFormat="1" applyFont="1" applyBorder="1"/>
    <xf numFmtId="164" fontId="1" fillId="3" borderId="3" xfId="0" applyNumberFormat="1" applyFont="1" applyFill="1" applyBorder="1"/>
    <xf numFmtId="164" fontId="1" fillId="3" borderId="6" xfId="0" applyNumberFormat="1" applyFont="1" applyFill="1" applyBorder="1"/>
    <xf numFmtId="0" fontId="0" fillId="2" borderId="1" xfId="0" applyFill="1" applyBorder="1" applyAlignment="1" applyProtection="1">
      <alignment horizontal="center"/>
      <protection locked="0"/>
    </xf>
    <xf numFmtId="8" fontId="2" fillId="0" borderId="0" xfId="0" applyNumberFormat="1" applyFont="1"/>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5" fillId="0" borderId="1"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0" borderId="0" xfId="0" applyFont="1" applyAlignment="1">
      <alignment horizontal="center" vertical="center"/>
    </xf>
    <xf numFmtId="0" fontId="0" fillId="0" borderId="1" xfId="0"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Layout" zoomScaleNormal="100" workbookViewId="0">
      <selection activeCell="E6" sqref="E6"/>
    </sheetView>
  </sheetViews>
  <sheetFormatPr baseColWidth="10" defaultRowHeight="15" x14ac:dyDescent="0.25"/>
  <cols>
    <col min="7" max="7" width="13.7109375" bestFit="1" customWidth="1"/>
  </cols>
  <sheetData>
    <row r="1" spans="1:14" x14ac:dyDescent="0.25">
      <c r="A1" s="29" t="s">
        <v>41</v>
      </c>
      <c r="B1" s="29"/>
      <c r="C1" s="29"/>
      <c r="D1" s="29"/>
      <c r="E1" s="29"/>
      <c r="F1" s="29"/>
      <c r="G1" s="29"/>
      <c r="H1" s="26" t="s">
        <v>7</v>
      </c>
      <c r="I1" s="26"/>
      <c r="J1" s="26"/>
      <c r="K1" s="26"/>
      <c r="L1" s="26"/>
      <c r="M1" s="26"/>
      <c r="N1" s="26"/>
    </row>
    <row r="2" spans="1:14" x14ac:dyDescent="0.25">
      <c r="A2" s="29"/>
      <c r="B2" s="29"/>
      <c r="C2" s="29"/>
      <c r="D2" s="29"/>
      <c r="E2" s="29"/>
      <c r="F2" s="29"/>
      <c r="G2" s="29"/>
      <c r="H2" s="26"/>
      <c r="I2" s="26"/>
      <c r="J2" s="26"/>
      <c r="K2" s="26"/>
      <c r="L2" s="26"/>
      <c r="M2" s="26"/>
      <c r="N2" s="26"/>
    </row>
    <row r="3" spans="1:14" ht="132" customHeight="1" x14ac:dyDescent="0.25">
      <c r="A3" s="25" t="s">
        <v>42</v>
      </c>
      <c r="B3" s="25"/>
      <c r="C3" s="25"/>
      <c r="D3" s="25"/>
      <c r="E3" s="25"/>
      <c r="F3" s="25"/>
      <c r="G3" s="25"/>
      <c r="H3" s="7"/>
      <c r="I3" s="7"/>
      <c r="J3" s="7"/>
      <c r="K3" s="7"/>
      <c r="L3" s="7"/>
      <c r="M3" s="7"/>
      <c r="N3" s="7"/>
    </row>
    <row r="4" spans="1:14" x14ac:dyDescent="0.25">
      <c r="A4" s="24" t="s">
        <v>6</v>
      </c>
      <c r="B4" s="24"/>
      <c r="C4" s="24"/>
      <c r="D4" s="24"/>
      <c r="E4" s="16">
        <v>2023</v>
      </c>
      <c r="F4" s="8" t="s">
        <v>22</v>
      </c>
      <c r="G4" s="9" t="s">
        <v>24</v>
      </c>
      <c r="H4" s="2"/>
      <c r="I4" s="3">
        <v>2022</v>
      </c>
      <c r="J4" s="3">
        <v>2023</v>
      </c>
      <c r="K4" s="3">
        <v>2024</v>
      </c>
      <c r="L4" s="2"/>
      <c r="M4" s="2"/>
      <c r="N4" s="2" t="s">
        <v>19</v>
      </c>
    </row>
    <row r="5" spans="1:14" x14ac:dyDescent="0.25">
      <c r="A5" s="24" t="s">
        <v>0</v>
      </c>
      <c r="B5" s="24"/>
      <c r="C5" s="24"/>
      <c r="D5" s="24"/>
      <c r="E5" s="16">
        <v>2</v>
      </c>
      <c r="F5" s="10" t="str">
        <f>IF(E5&lt;2,6," ")</f>
        <v xml:space="preserve"> </v>
      </c>
      <c r="G5" s="11" t="str">
        <f>IF(E5&lt;2,SUM(E8:E10)*F5," ")</f>
        <v xml:space="preserve"> </v>
      </c>
      <c r="H5" s="4" t="s">
        <v>10</v>
      </c>
      <c r="I5" s="5">
        <f>IF(E4=2022,"8,50€",0)</f>
        <v>0</v>
      </c>
      <c r="J5" s="5" t="str">
        <f>IF(E4=2023,"9,10€",0)</f>
        <v>9,10€</v>
      </c>
      <c r="K5" s="5">
        <f>IF(E4=2024,"9,75€",0)</f>
        <v>0</v>
      </c>
      <c r="L5" s="5"/>
      <c r="M5" s="5"/>
      <c r="N5" s="6">
        <f>IF(E11="SV",I5+J5+K5,0)</f>
        <v>0</v>
      </c>
    </row>
    <row r="6" spans="1:14" x14ac:dyDescent="0.25">
      <c r="A6" s="24" t="s">
        <v>1</v>
      </c>
      <c r="B6" s="24"/>
      <c r="C6" s="24"/>
      <c r="D6" s="24"/>
      <c r="E6" s="16" t="s">
        <v>36</v>
      </c>
      <c r="F6" s="10">
        <f>IF(E6="Ja",N19,0)</f>
        <v>0</v>
      </c>
      <c r="G6" s="11">
        <f>(E8+E9+E10)*E5*F6</f>
        <v>0</v>
      </c>
      <c r="H6" s="4" t="s">
        <v>11</v>
      </c>
      <c r="I6" s="5">
        <f>IF(E4=2022,"17,45€",0)</f>
        <v>0</v>
      </c>
      <c r="J6" s="5" t="str">
        <f>IF(E4=2023,"18,70€",0)</f>
        <v>18,70€</v>
      </c>
      <c r="K6" s="5">
        <f>IF(E4=2024,"19,95€",0)</f>
        <v>0</v>
      </c>
      <c r="L6" s="5"/>
      <c r="M6" s="5"/>
      <c r="N6" s="6">
        <f>IF(E11="SV",I6+J6+K6,0)</f>
        <v>0</v>
      </c>
    </row>
    <row r="7" spans="1:14" x14ac:dyDescent="0.25">
      <c r="A7" s="24" t="s">
        <v>2</v>
      </c>
      <c r="B7" s="24"/>
      <c r="C7" s="24"/>
      <c r="D7" s="24"/>
      <c r="E7" s="16">
        <v>0</v>
      </c>
      <c r="F7" s="12">
        <v>0</v>
      </c>
      <c r="G7" s="13">
        <f>E7*F7</f>
        <v>0</v>
      </c>
      <c r="H7" s="4" t="s">
        <v>12</v>
      </c>
      <c r="I7" s="5">
        <f>IF(E4=2022,"19,50€",0)</f>
        <v>0</v>
      </c>
      <c r="J7" s="5" t="str">
        <f>IF(E4=2023,"21,35€",0)</f>
        <v>21,35€</v>
      </c>
      <c r="K7" s="5">
        <f>IF(E4=2024,"22,85€",0)</f>
        <v>0</v>
      </c>
      <c r="L7" s="5"/>
      <c r="M7" s="5"/>
      <c r="N7" s="6">
        <f>IF(E11="SV",I7+J7+K7,0)</f>
        <v>0</v>
      </c>
    </row>
    <row r="8" spans="1:14" x14ac:dyDescent="0.25">
      <c r="A8" s="24" t="s">
        <v>3</v>
      </c>
      <c r="B8" s="24"/>
      <c r="C8" s="24"/>
      <c r="D8" s="24"/>
      <c r="E8" s="16">
        <v>0</v>
      </c>
      <c r="F8" s="10">
        <f>N5+N8+N11</f>
        <v>17.399999999999999</v>
      </c>
      <c r="G8" s="13">
        <f>E8*E5*F8</f>
        <v>0</v>
      </c>
      <c r="H8" s="4" t="s">
        <v>13</v>
      </c>
      <c r="I8" s="5">
        <f>IF(E4=2022,"16,25€",0)</f>
        <v>0</v>
      </c>
      <c r="J8" s="5" t="str">
        <f>IF(E4=2023,"17,40€",0)</f>
        <v>17,40€</v>
      </c>
      <c r="K8" s="5">
        <f>IF(E4=2024,"18,60€",0)</f>
        <v>0</v>
      </c>
      <c r="L8" s="5"/>
      <c r="M8" s="5"/>
      <c r="N8" s="6">
        <f>IF(E11="VV",I8+J8+K8,0)</f>
        <v>17.399999999999999</v>
      </c>
    </row>
    <row r="9" spans="1:14" x14ac:dyDescent="0.25">
      <c r="A9" s="24" t="s">
        <v>4</v>
      </c>
      <c r="B9" s="24"/>
      <c r="C9" s="24"/>
      <c r="D9" s="24"/>
      <c r="E9" s="16">
        <v>0</v>
      </c>
      <c r="F9" s="10">
        <f>N6+N9+N12</f>
        <v>35.950000000000003</v>
      </c>
      <c r="G9" s="13">
        <f>E9*E5*F9</f>
        <v>0</v>
      </c>
      <c r="H9" s="4" t="s">
        <v>14</v>
      </c>
      <c r="I9" s="5">
        <f>IF(E4=2022,"33,60€",0)</f>
        <v>0</v>
      </c>
      <c r="J9" s="5" t="str">
        <f>IF(E4=2023,"35,95€",0)</f>
        <v>35,95€</v>
      </c>
      <c r="K9" s="5">
        <f>IF(E4=2024,"38,45€",0)</f>
        <v>0</v>
      </c>
      <c r="L9" s="5"/>
      <c r="M9" s="5"/>
      <c r="N9" s="6">
        <f>IF(E11="VV",I9+J9+K9,0)</f>
        <v>35.950000000000003</v>
      </c>
    </row>
    <row r="10" spans="1:14" x14ac:dyDescent="0.25">
      <c r="A10" s="24" t="s">
        <v>5</v>
      </c>
      <c r="B10" s="24"/>
      <c r="C10" s="24"/>
      <c r="D10" s="24"/>
      <c r="E10" s="16">
        <v>0</v>
      </c>
      <c r="F10" s="10">
        <f>N7+N10+N13</f>
        <v>43.3</v>
      </c>
      <c r="G10" s="13">
        <f>E10*E5*F10</f>
        <v>0</v>
      </c>
      <c r="H10" s="4" t="s">
        <v>15</v>
      </c>
      <c r="I10" s="5">
        <f>IF(E4=2022,"40,50€",0)</f>
        <v>0</v>
      </c>
      <c r="J10" s="5" t="str">
        <f>IF(E4=2023,"43,30€",0)</f>
        <v>43,30€</v>
      </c>
      <c r="K10" s="5">
        <f>IF(E4=2024,"46,30€",0)</f>
        <v>0</v>
      </c>
      <c r="L10" s="5"/>
      <c r="M10" s="5"/>
      <c r="N10" s="6">
        <f>IF(E11="VV",I10+J10+K10,0)</f>
        <v>43.3</v>
      </c>
    </row>
    <row r="11" spans="1:14" x14ac:dyDescent="0.25">
      <c r="A11" s="24" t="s">
        <v>8</v>
      </c>
      <c r="B11" s="24"/>
      <c r="C11" s="24"/>
      <c r="D11" s="24"/>
      <c r="E11" s="16" t="s">
        <v>20</v>
      </c>
      <c r="F11" s="9"/>
      <c r="G11" s="8"/>
      <c r="H11" s="4" t="s">
        <v>16</v>
      </c>
      <c r="I11" s="5">
        <f>IF(E4=2022,"16,25€",0)</f>
        <v>0</v>
      </c>
      <c r="J11" s="5" t="str">
        <f>IF(E4=2023,"17,40€",0)</f>
        <v>17,40€</v>
      </c>
      <c r="K11" s="5">
        <f>IF(E4=2024,"18,60€",0)</f>
        <v>0</v>
      </c>
      <c r="L11" s="5"/>
      <c r="M11" s="5"/>
      <c r="N11" s="6">
        <f>IF(E11="VV+",I11+J11+K11,0)</f>
        <v>0</v>
      </c>
    </row>
    <row r="12" spans="1:14" x14ac:dyDescent="0.25">
      <c r="A12" s="24" t="str">
        <f>IF(E11="SV","Mit welcher Küche wird geplant? (GZH = bis 60 Pers.)","Hier bitte bei Vollverpflegung keine Küche auswählen")</f>
        <v>Hier bitte bei Vollverpflegung keine Küche auswählen</v>
      </c>
      <c r="B12" s="24"/>
      <c r="C12" s="24"/>
      <c r="D12" s="24"/>
      <c r="E12" s="16" t="s">
        <v>39</v>
      </c>
      <c r="F12" s="8"/>
      <c r="G12" s="13">
        <f>IF(E12="GZH",N14,IF(E12="HKH",N15,0))</f>
        <v>0</v>
      </c>
      <c r="H12" s="4" t="s">
        <v>17</v>
      </c>
      <c r="I12" s="5">
        <f>IF(E4=2022,"37,85€",0)</f>
        <v>0</v>
      </c>
      <c r="J12" s="5" t="str">
        <f>IF(E4=2023,"40,50€",0)</f>
        <v>40,50€</v>
      </c>
      <c r="K12" s="5">
        <f>IF(E4=2024,"43,35€",0)</f>
        <v>0</v>
      </c>
      <c r="L12" s="5"/>
      <c r="M12" s="5"/>
      <c r="N12" s="6">
        <f>IF(E11="VV+",I12+J12+K12,0)</f>
        <v>0</v>
      </c>
    </row>
    <row r="13" spans="1:14" x14ac:dyDescent="0.25">
      <c r="H13" s="4" t="s">
        <v>18</v>
      </c>
      <c r="I13" s="5">
        <f>IF(E4=2022,"46,00€",0)</f>
        <v>0</v>
      </c>
      <c r="J13" s="5" t="str">
        <f>IF(E4=2023,"49,20€",0)</f>
        <v>49,20€</v>
      </c>
      <c r="K13" s="5">
        <f>IF(E4=2024,"52,65€",0)</f>
        <v>0</v>
      </c>
      <c r="L13" s="5"/>
      <c r="M13" s="5"/>
      <c r="N13" s="6">
        <f>IF(E11="VV+",I13+J13+K13,0)</f>
        <v>0</v>
      </c>
    </row>
    <row r="14" spans="1:14" x14ac:dyDescent="0.25">
      <c r="H14" s="4" t="s">
        <v>29</v>
      </c>
      <c r="I14" s="6">
        <f>IF(E4=2022,IF(E5&lt;3,133,IF(E5&gt;4,228,183)),0)</f>
        <v>0</v>
      </c>
      <c r="J14" s="6">
        <f>IF(E4=2023,IF(E5&lt;3,143,IF(E5&gt;4,239,193)),0)</f>
        <v>143</v>
      </c>
      <c r="K14" s="6">
        <f>IF(E4=2024,IF(E5&lt;3,155,IF(E5&gt;4,255,205)),0)</f>
        <v>0</v>
      </c>
      <c r="L14" s="2"/>
      <c r="M14" s="2"/>
      <c r="N14" s="6">
        <f>IF(E11="SV",I14+J14+K14,0)</f>
        <v>0</v>
      </c>
    </row>
    <row r="15" spans="1:14" x14ac:dyDescent="0.25">
      <c r="H15" s="4" t="s">
        <v>30</v>
      </c>
      <c r="I15" s="6">
        <f>IF(E4=2022,IF(E5&lt;3,395,IF(E5&gt;4,590,525)),0)</f>
        <v>0</v>
      </c>
      <c r="J15" s="6">
        <f>IF(E4=2023,IF(E5&lt;3,405,IF(E5&gt;4,599,535)),0)</f>
        <v>405</v>
      </c>
      <c r="K15" s="6">
        <f>IF(E4=2024,IF(E5&lt;3,430,IF(E5&gt;4,640,570)),0)</f>
        <v>0</v>
      </c>
      <c r="L15" s="2"/>
      <c r="M15" s="2"/>
      <c r="N15" s="6">
        <f>IF(E11="SV",I15+J15+K15,0)</f>
        <v>0</v>
      </c>
    </row>
    <row r="16" spans="1:14" x14ac:dyDescent="0.25">
      <c r="A16" s="27" t="s">
        <v>25</v>
      </c>
      <c r="B16" s="28"/>
      <c r="C16" s="28"/>
      <c r="D16" s="28"/>
      <c r="E16" s="14">
        <f>SUM(G6:G12)</f>
        <v>0</v>
      </c>
      <c r="F16" s="20" t="s">
        <v>27</v>
      </c>
      <c r="G16" s="21"/>
      <c r="H16" s="2"/>
      <c r="I16" s="2"/>
      <c r="J16" s="2"/>
      <c r="K16" s="2"/>
      <c r="L16" s="2"/>
      <c r="M16" s="2"/>
      <c r="N16" s="2"/>
    </row>
    <row r="17" spans="1:14" x14ac:dyDescent="0.25">
      <c r="A17" s="18" t="s">
        <v>26</v>
      </c>
      <c r="B17" s="19"/>
      <c r="C17" s="19"/>
      <c r="D17" s="19"/>
      <c r="E17" s="15" t="e">
        <f>E16/SUM(E7:E10)</f>
        <v>#DIV/0!</v>
      </c>
      <c r="F17" s="22" t="s">
        <v>28</v>
      </c>
      <c r="G17" s="23"/>
      <c r="H17" s="4" t="s">
        <v>34</v>
      </c>
      <c r="I17" s="2"/>
      <c r="J17" s="2"/>
      <c r="K17" s="2"/>
      <c r="L17" s="2"/>
      <c r="M17" s="2"/>
      <c r="N17" s="2"/>
    </row>
    <row r="18" spans="1:14" x14ac:dyDescent="0.25">
      <c r="H18" s="4" t="s">
        <v>32</v>
      </c>
      <c r="I18" s="2" t="s">
        <v>33</v>
      </c>
      <c r="J18" s="2" t="s">
        <v>35</v>
      </c>
      <c r="K18" s="2" t="s">
        <v>37</v>
      </c>
      <c r="L18" s="2" t="s">
        <v>38</v>
      </c>
      <c r="M18" s="2" t="s">
        <v>49</v>
      </c>
      <c r="N18" s="2" t="s">
        <v>50</v>
      </c>
    </row>
    <row r="19" spans="1:14" x14ac:dyDescent="0.25">
      <c r="H19" s="2">
        <v>2022</v>
      </c>
      <c r="I19" s="2">
        <v>1</v>
      </c>
      <c r="J19" s="2" t="s">
        <v>23</v>
      </c>
      <c r="K19" s="2" t="s">
        <v>9</v>
      </c>
      <c r="L19" s="2" t="s">
        <v>39</v>
      </c>
      <c r="M19" s="5">
        <f>IF(E4=2022,"2,50€",0)</f>
        <v>0</v>
      </c>
      <c r="N19" s="17">
        <f>M19+M20+M21</f>
        <v>2.6</v>
      </c>
    </row>
    <row r="20" spans="1:14" x14ac:dyDescent="0.25">
      <c r="H20" s="2">
        <v>2023</v>
      </c>
      <c r="I20" s="2">
        <v>2</v>
      </c>
      <c r="J20" s="2" t="s">
        <v>36</v>
      </c>
      <c r="K20" s="2" t="s">
        <v>20</v>
      </c>
      <c r="L20" s="2" t="s">
        <v>31</v>
      </c>
      <c r="M20" s="5" t="str">
        <f>IF(E4=2023,"2,60€",0)</f>
        <v>2,60€</v>
      </c>
      <c r="N20" s="2"/>
    </row>
    <row r="21" spans="1:14" x14ac:dyDescent="0.25">
      <c r="A21" s="30" t="s">
        <v>43</v>
      </c>
      <c r="B21" s="30"/>
      <c r="C21" s="30"/>
      <c r="D21" s="30"/>
      <c r="E21" s="30"/>
      <c r="F21" s="30"/>
      <c r="G21" s="30"/>
      <c r="H21" s="2">
        <v>2024</v>
      </c>
      <c r="I21" s="2">
        <v>3</v>
      </c>
      <c r="J21" s="2"/>
      <c r="K21" s="2" t="s">
        <v>21</v>
      </c>
      <c r="L21" s="2" t="s">
        <v>40</v>
      </c>
      <c r="M21" s="5">
        <f>IF(E4=2024,"2,75€",0)</f>
        <v>0</v>
      </c>
      <c r="N21" s="2"/>
    </row>
    <row r="22" spans="1:14" x14ac:dyDescent="0.25">
      <c r="A22" s="30" t="s">
        <v>9</v>
      </c>
      <c r="B22" s="30"/>
      <c r="C22" s="30"/>
      <c r="D22" s="30" t="s">
        <v>44</v>
      </c>
      <c r="E22" s="30"/>
      <c r="F22" s="30"/>
      <c r="G22" s="30"/>
      <c r="H22" s="2"/>
      <c r="I22" s="2">
        <v>4</v>
      </c>
      <c r="J22" s="2"/>
      <c r="K22" s="2"/>
      <c r="L22" s="2"/>
      <c r="M22" s="2"/>
      <c r="N22" s="2"/>
    </row>
    <row r="23" spans="1:14" x14ac:dyDescent="0.25">
      <c r="A23" s="30" t="s">
        <v>20</v>
      </c>
      <c r="B23" s="30"/>
      <c r="C23" s="30"/>
      <c r="D23" s="30" t="s">
        <v>47</v>
      </c>
      <c r="E23" s="30"/>
      <c r="F23" s="30"/>
      <c r="G23" s="30"/>
      <c r="H23" s="2"/>
      <c r="I23" s="2">
        <v>5</v>
      </c>
      <c r="J23" s="2"/>
      <c r="K23" s="2"/>
      <c r="L23" s="2"/>
      <c r="M23" s="2"/>
      <c r="N23" s="2"/>
    </row>
    <row r="24" spans="1:14" x14ac:dyDescent="0.25">
      <c r="A24" s="30" t="s">
        <v>21</v>
      </c>
      <c r="B24" s="30"/>
      <c r="C24" s="30"/>
      <c r="D24" s="30" t="s">
        <v>48</v>
      </c>
      <c r="E24" s="30"/>
      <c r="F24" s="30"/>
      <c r="G24" s="30"/>
      <c r="H24" s="2"/>
      <c r="I24" s="2">
        <v>6</v>
      </c>
      <c r="J24" s="2"/>
      <c r="K24" s="2"/>
      <c r="L24" s="2"/>
      <c r="M24" s="2"/>
      <c r="N24" s="2"/>
    </row>
    <row r="25" spans="1:14" x14ac:dyDescent="0.25">
      <c r="A25" s="30" t="s">
        <v>31</v>
      </c>
      <c r="B25" s="30"/>
      <c r="C25" s="30"/>
      <c r="D25" s="30" t="s">
        <v>45</v>
      </c>
      <c r="E25" s="30"/>
      <c r="F25" s="30"/>
      <c r="G25" s="30"/>
      <c r="H25" s="2"/>
      <c r="I25" s="2">
        <v>7</v>
      </c>
      <c r="J25" s="2"/>
      <c r="K25" s="2"/>
      <c r="L25" s="2"/>
      <c r="M25" s="2"/>
      <c r="N25" s="2"/>
    </row>
    <row r="26" spans="1:14" x14ac:dyDescent="0.25">
      <c r="A26" s="30" t="s">
        <v>40</v>
      </c>
      <c r="B26" s="30"/>
      <c r="C26" s="30"/>
      <c r="D26" s="30" t="s">
        <v>46</v>
      </c>
      <c r="E26" s="30"/>
      <c r="F26" s="30"/>
      <c r="G26" s="30"/>
      <c r="H26" s="2"/>
      <c r="I26" s="2">
        <v>8</v>
      </c>
      <c r="J26" s="2"/>
      <c r="K26" s="2"/>
      <c r="L26" s="2"/>
      <c r="M26" s="2"/>
      <c r="N26" s="2"/>
    </row>
    <row r="27" spans="1:14" x14ac:dyDescent="0.25">
      <c r="A27" s="1"/>
      <c r="B27" s="1"/>
      <c r="C27" s="1"/>
      <c r="D27" s="1"/>
      <c r="E27" s="1"/>
      <c r="F27" s="1"/>
      <c r="G27" s="1"/>
      <c r="H27" s="2"/>
      <c r="I27" s="2">
        <v>9</v>
      </c>
      <c r="J27" s="2"/>
      <c r="K27" s="2"/>
      <c r="L27" s="2"/>
      <c r="M27" s="2"/>
      <c r="N27" s="2"/>
    </row>
    <row r="28" spans="1:14" x14ac:dyDescent="0.25">
      <c r="A28" s="1"/>
      <c r="B28" s="1"/>
      <c r="C28" s="1"/>
      <c r="D28" s="1"/>
      <c r="E28" s="1"/>
      <c r="F28" s="1"/>
      <c r="G28" s="1"/>
      <c r="H28" s="2"/>
      <c r="I28" s="2">
        <v>10</v>
      </c>
      <c r="J28" s="2"/>
      <c r="K28" s="2"/>
      <c r="L28" s="2"/>
      <c r="M28" s="2"/>
      <c r="N28" s="2"/>
    </row>
    <row r="29" spans="1:14" x14ac:dyDescent="0.25">
      <c r="A29" s="1"/>
      <c r="B29" s="1"/>
      <c r="C29" s="1"/>
      <c r="D29" s="1"/>
      <c r="E29" s="1"/>
      <c r="F29" s="1"/>
      <c r="G29" s="1"/>
      <c r="H29" s="2"/>
      <c r="I29" s="2"/>
      <c r="J29" s="2"/>
      <c r="K29" s="2"/>
      <c r="L29" s="2"/>
      <c r="M29" s="2"/>
      <c r="N29" s="2"/>
    </row>
    <row r="30" spans="1:14" x14ac:dyDescent="0.25">
      <c r="A30" s="1"/>
      <c r="B30" s="1"/>
      <c r="C30" s="1"/>
      <c r="D30" s="1"/>
      <c r="E30" s="1"/>
      <c r="F30" s="1"/>
      <c r="G30" s="1"/>
      <c r="H30" s="2"/>
      <c r="I30" s="2"/>
      <c r="J30" s="2"/>
      <c r="K30" s="2"/>
      <c r="L30" s="2"/>
      <c r="M30" s="2"/>
      <c r="N30" s="2"/>
    </row>
    <row r="31" spans="1:14" x14ac:dyDescent="0.25">
      <c r="A31" s="1"/>
      <c r="B31" s="1"/>
      <c r="C31" s="1"/>
      <c r="D31" s="1"/>
      <c r="E31" s="1"/>
      <c r="F31" s="1"/>
      <c r="G31" s="1"/>
    </row>
    <row r="32" spans="1:14" x14ac:dyDescent="0.25">
      <c r="A32" s="1"/>
      <c r="B32" s="1"/>
      <c r="C32" s="1"/>
      <c r="D32" s="1"/>
      <c r="E32" s="1"/>
      <c r="F32" s="1"/>
      <c r="G32" s="1"/>
    </row>
  </sheetData>
  <sheetProtection algorithmName="SHA-512" hashValue="D5/XlIaVAmfagz5+jfdXh+g+jPAOdKcPKOSboo6z93zgqNPRHMQhfXYrqEchWIT80zO/lsvrJHyhGnHGW/a4eg==" saltValue="Twq6VyCG8LnCh5zlx8uyPA==" spinCount="100000" sheet="1" objects="1" scenarios="1" selectLockedCells="1"/>
  <mergeCells count="27">
    <mergeCell ref="A26:C26"/>
    <mergeCell ref="D26:G26"/>
    <mergeCell ref="A21:G21"/>
    <mergeCell ref="A22:C22"/>
    <mergeCell ref="D22:G22"/>
    <mergeCell ref="A23:C23"/>
    <mergeCell ref="D23:G23"/>
    <mergeCell ref="A24:C24"/>
    <mergeCell ref="D24:G24"/>
    <mergeCell ref="H1:N2"/>
    <mergeCell ref="A16:D16"/>
    <mergeCell ref="A1:G2"/>
    <mergeCell ref="A25:C25"/>
    <mergeCell ref="D25:G25"/>
    <mergeCell ref="A17:D17"/>
    <mergeCell ref="F16:G16"/>
    <mergeCell ref="F17:G17"/>
    <mergeCell ref="A12:D12"/>
    <mergeCell ref="A3:G3"/>
    <mergeCell ref="A4:D4"/>
    <mergeCell ref="A5:D5"/>
    <mergeCell ref="A6:D6"/>
    <mergeCell ref="A7:D7"/>
    <mergeCell ref="A8:D8"/>
    <mergeCell ref="A9:D9"/>
    <mergeCell ref="A10:D10"/>
    <mergeCell ref="A11:D11"/>
  </mergeCells>
  <dataValidations count="5">
    <dataValidation type="list" allowBlank="1" showInputMessage="1" showErrorMessage="1" sqref="E4">
      <formula1>$H$19:$H$21</formula1>
    </dataValidation>
    <dataValidation type="list" allowBlank="1" showInputMessage="1" showErrorMessage="1" sqref="E5">
      <formula1>$I$19:$I$28</formula1>
    </dataValidation>
    <dataValidation type="list" allowBlank="1" showInputMessage="1" showErrorMessage="1" sqref="E6">
      <formula1>$J$19:$J$20</formula1>
    </dataValidation>
    <dataValidation type="list" allowBlank="1" showInputMessage="1" showErrorMessage="1" sqref="E11">
      <formula1>$K$19:$K$21</formula1>
    </dataValidation>
    <dataValidation type="list" allowBlank="1" showInputMessage="1" showErrorMessage="1" sqref="E12">
      <formula1>$L$19:$L$21</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Hüttebräucker</dc:creator>
  <cp:lastModifiedBy>Timo Hüttebräucker</cp:lastModifiedBy>
  <dcterms:created xsi:type="dcterms:W3CDTF">2022-09-07T08:40:42Z</dcterms:created>
  <dcterms:modified xsi:type="dcterms:W3CDTF">2023-05-25T13:17:48Z</dcterms:modified>
</cp:coreProperties>
</file>